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2" activeTab="11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</sheets>
  <definedNames/>
  <calcPr fullCalcOnLoad="1"/>
</workbook>
</file>

<file path=xl/sharedStrings.xml><?xml version="1.0" encoding="utf-8"?>
<sst xmlns="http://schemas.openxmlformats.org/spreadsheetml/2006/main" count="367" uniqueCount="167">
  <si>
    <t>Рассчитать объем поставки стальных и чугунных труб в натуральном и стоимостном выражении, а также остатки на конец планового года в натуральном, стоимостном и в днях, по таблице.</t>
  </si>
  <si>
    <t>Стоимость 1т. стальных труб</t>
  </si>
  <si>
    <t>тыс.руб.</t>
  </si>
  <si>
    <t>Стоимость 1т. чугунных труб</t>
  </si>
  <si>
    <t>Исходные данные для расчета объемов поставки труб:</t>
  </si>
  <si>
    <t>продукция</t>
  </si>
  <si>
    <t>годовой план пр-ва, т.</t>
  </si>
  <si>
    <t>остатки готовой продукции на начало, т.</t>
  </si>
  <si>
    <t>плановый объем свободной продажи, т.</t>
  </si>
  <si>
    <t>поставка по договорам, т.</t>
  </si>
  <si>
    <t>гос.заказ, т.</t>
  </si>
  <si>
    <t>собственные нужды, т.</t>
  </si>
  <si>
    <t>стальные трубы</t>
  </si>
  <si>
    <t>чугунные трубы</t>
  </si>
  <si>
    <t>Vп</t>
  </si>
  <si>
    <t>т.</t>
  </si>
  <si>
    <t>Vп, ден.</t>
  </si>
  <si>
    <t>Ок</t>
  </si>
  <si>
    <t>Ок, ден.</t>
  </si>
  <si>
    <t>Всс</t>
  </si>
  <si>
    <t>т./день</t>
  </si>
  <si>
    <t>Всс, ден.</t>
  </si>
  <si>
    <t>тыс.руб./день</t>
  </si>
  <si>
    <t>Ок, дни</t>
  </si>
  <si>
    <t>дней</t>
  </si>
  <si>
    <t>Рассчитать объем сбыта автобусов МАЗ на 1-й квартал следующего года. По информации службы маркетинга в плановом периоде продукция будет пользоваться повышенным спросом, при этом производственные мощности позволят установить</t>
  </si>
  <si>
    <t>объем производства на квартал не более</t>
  </si>
  <si>
    <t>шт.</t>
  </si>
  <si>
    <t>На 1-е декабря на складе готовой продукции было</t>
  </si>
  <si>
    <t>прогнозируемый объем отправки в декабре</t>
  </si>
  <si>
    <t>объем производства</t>
  </si>
  <si>
    <t>В сборочном цеху находится еще</t>
  </si>
  <si>
    <t>на которые в течение декабря запланирована установка комплектующих по спец.заказу.</t>
  </si>
  <si>
    <t>Также известно, что по расчетам отдела сбыта на складе готовой продукции необходимо иметь нормативный запас на</t>
  </si>
  <si>
    <t>Он, план</t>
  </si>
  <si>
    <t>шт./день</t>
  </si>
  <si>
    <t>Ок, план</t>
  </si>
  <si>
    <t>Vп, план</t>
  </si>
  <si>
    <t>Определить для шинного комбината необходимый объем производства автомобильных шин для удовлетворения запросов потребителей в 4-м квартале текущего года по следующим данным:</t>
  </si>
  <si>
    <t>заказы постоянных покупателей</t>
  </si>
  <si>
    <t>прогнозируемый объем сбыта без предварительных заказов (свободный рынок)</t>
  </si>
  <si>
    <t>предусмотрена поставка по гос.заказу в размере</t>
  </si>
  <si>
    <t>ожидаемые остатки шин на начало 4-го квартала</t>
  </si>
  <si>
    <t>норма запаса готовой продукции на сбытовом складе</t>
  </si>
  <si>
    <t>Vпр-Ок, множитель для Vпр</t>
  </si>
  <si>
    <t>Vпр</t>
  </si>
  <si>
    <t>Рассчитать возможные объемы поставки и реализации в денежном выражении ткани комвольным комбинатом в 1-м квартале планового года по следующим данным:</t>
  </si>
  <si>
    <t>остатки готовой продукции на сбытовом складе на начало 1-го квартала</t>
  </si>
  <si>
    <t>пог.м.</t>
  </si>
  <si>
    <t>потребность на собственные нужды в 1-м квартале</t>
  </si>
  <si>
    <t>выпуск продукции в плановом периоде</t>
  </si>
  <si>
    <t>цена 1 погонного метра ткани в декабре</t>
  </si>
  <si>
    <t>руб.</t>
  </si>
  <si>
    <t>в плановом квартале будет применена скользящая падающая цена, ежемесячное снижение в среднем</t>
  </si>
  <si>
    <t>%</t>
  </si>
  <si>
    <t>поставка продукции в плановом квартале будет осуществляться равномерно (по месяцам)</t>
  </si>
  <si>
    <t>остатки товаров отгруженных, но не оплаченных покупателями на начало 1-го квартала</t>
  </si>
  <si>
    <t>средний срок пробега платежных документов</t>
  </si>
  <si>
    <t>в соответствии с учетной политикой объем реализации определяется по факту оплаты продукции</t>
  </si>
  <si>
    <t>Vп,ден, 1-й месяц</t>
  </si>
  <si>
    <t>Vп,ден, 2-й месяц</t>
  </si>
  <si>
    <t>Vп,ден, 3-й месяц</t>
  </si>
  <si>
    <t>Vп,ден</t>
  </si>
  <si>
    <t>Ок,не.опл.</t>
  </si>
  <si>
    <t>Vр</t>
  </si>
  <si>
    <t>Рассчитать возможные объемы поставки и реализации шерсти, а также необходимый объем ее производства в 1-м квартале планового года по следующим данным:</t>
  </si>
  <si>
    <t>остатки товаров отгруженных, но не оплаченных, на начало 1-го квартала</t>
  </si>
  <si>
    <t>сумма аванса полученного от покупателей как предоплата на начало планового квартала</t>
  </si>
  <si>
    <t>ожидаемое поступление денег в порядке предоплаты в 1-м квартале</t>
  </si>
  <si>
    <t>предприятие предполагает полностью отгрузить продукцию покупателям, которые осуществляют предоплату</t>
  </si>
  <si>
    <t>нормативная величина остатков товаров отгруженных, но не оплаченных</t>
  </si>
  <si>
    <t>объем отгрузки продукции, расчет за которую осуществляется после ее получения покупателями, составит по расчетам предприятия в 1-м квартале планового года не менее</t>
  </si>
  <si>
    <t>в 1-м квартале предполагается продать в кредит продукции на сумму</t>
  </si>
  <si>
    <t>По данным таблицы рассчитать общий плановый объем реализации продукции предприятия на 1-й квартал будущего года.</t>
  </si>
  <si>
    <t>остатки факт. товаров не оплаченных на 1.12, млн.руб.</t>
  </si>
  <si>
    <t>ожидаемые поступления в декабре, млн.руб.</t>
  </si>
  <si>
    <t>ожидаемые сбыт в декабре, млн.руб.</t>
  </si>
  <si>
    <t>план поставки на 1-й квартал, млн.руб.</t>
  </si>
  <si>
    <t>ср. срок пробега платежных документов, дней</t>
  </si>
  <si>
    <t>сталь</t>
  </si>
  <si>
    <t>чугун</t>
  </si>
  <si>
    <t>млн.руб./день</t>
  </si>
  <si>
    <t>Он,не.опл</t>
  </si>
  <si>
    <t>млн.руб.</t>
  </si>
  <si>
    <t>Ок,не.опл</t>
  </si>
  <si>
    <t>Vр,общ</t>
  </si>
  <si>
    <t>Рассчитать возможный объем реализации БМЗ металлокорда планового года по следующим данным:</t>
  </si>
  <si>
    <t>плановый выпуск продукции в 1-м квартале</t>
  </si>
  <si>
    <t>потребность предприятия в металлокорде в 1-м квартале</t>
  </si>
  <si>
    <t>остатки металлокорда на складе на начало 1-м квартала</t>
  </si>
  <si>
    <t>остатки товаров отгруженных, но не оплаченных на начало 1-го квартала</t>
  </si>
  <si>
    <t>норма запаса готовой продукции</t>
  </si>
  <si>
    <t>норматив товаров отгруженных, но не оплаченных на конец квартала</t>
  </si>
  <si>
    <t>Рассчитать норму сбытового запаса стальной проволоки для предприятия</t>
  </si>
  <si>
    <t>отгружающего ее равномерно вагонами по</t>
  </si>
  <si>
    <t>прогнозируемый объем пр-ва в план.квартале</t>
  </si>
  <si>
    <t>на подготовительные операции, осуществляемые на сбытовом складе, в среднем необходимо</t>
  </si>
  <si>
    <t>опыт работы в прошлом периоде показал что для обеспечения равномерного сбыта предприятию необходимо иметь на складе страховой запас на уровне</t>
  </si>
  <si>
    <t>Зт</t>
  </si>
  <si>
    <t>Зт,дни</t>
  </si>
  <si>
    <t>Зп</t>
  </si>
  <si>
    <t>Зс</t>
  </si>
  <si>
    <t>З</t>
  </si>
  <si>
    <t>З,дни</t>
  </si>
  <si>
    <t>Определить среднюю квартальную величину сбытового запаса цемента в тоннах и днях на основании данных:</t>
  </si>
  <si>
    <t>квартал</t>
  </si>
  <si>
    <t>запас, т.</t>
  </si>
  <si>
    <t>запас, дни</t>
  </si>
  <si>
    <t>I</t>
  </si>
  <si>
    <t>II</t>
  </si>
  <si>
    <t>III</t>
  </si>
  <si>
    <t>IV</t>
  </si>
  <si>
    <t>З,кварт</t>
  </si>
  <si>
    <t>Зсс</t>
  </si>
  <si>
    <t>З,кварт,дни</t>
  </si>
  <si>
    <t>На основании данных таблицы рассчитать общую и частную нормы запасов готовой продукции в натуральных и денежных измерителях, а также в днях:</t>
  </si>
  <si>
    <t>норма запаса, дни</t>
  </si>
  <si>
    <t>норма запаса, шт.</t>
  </si>
  <si>
    <t>норма запаса, тыс.руб.</t>
  </si>
  <si>
    <t>годовой выпуск, шт.</t>
  </si>
  <si>
    <t>цена / шт.</t>
  </si>
  <si>
    <t>радиаторы</t>
  </si>
  <si>
    <t>трансформаторы</t>
  </si>
  <si>
    <t>трансформаторы подстанции</t>
  </si>
  <si>
    <t>радиаторы (из тыс.руб.)</t>
  </si>
  <si>
    <t>Всс,ден</t>
  </si>
  <si>
    <t>Зн,шт</t>
  </si>
  <si>
    <t>Зн,дни</t>
  </si>
  <si>
    <t>трансформаторы (из дней)</t>
  </si>
  <si>
    <t>Зн</t>
  </si>
  <si>
    <t>трансформаторы подстанции (из шт.)</t>
  </si>
  <si>
    <t>З,общ,ден</t>
  </si>
  <si>
    <t>Всс,общ,ден</t>
  </si>
  <si>
    <t>З,общ,дни</t>
  </si>
  <si>
    <t>Рассчитать общую величину сбытового запаса продукции в абсолютных и относительных выражениях производителя автомобильных компонентов на основе следующих данных:</t>
  </si>
  <si>
    <t>цена / шт., руб.</t>
  </si>
  <si>
    <t>аккумуляторы</t>
  </si>
  <si>
    <t>фильтры воздушные</t>
  </si>
  <si>
    <t>фильтры масляные</t>
  </si>
  <si>
    <t>руб./день</t>
  </si>
  <si>
    <t>По данным таблицы рассчитать для льнокомбината общую норму сбытового запаса в абсолютном и относительном выражении, а также частные нормы запаса по каждому виду ткани. Отправка продукции покупателям осуществляется равномерно, партиями в размере транзитной нормы отгрузки.</t>
  </si>
  <si>
    <t>для обеспечения равномерности отгрузки на складе создается страховой запас на</t>
  </si>
  <si>
    <t>величина подготовительного запаса установлена на уровне</t>
  </si>
  <si>
    <t>При расчетах учесть что из общего кол-ва отгрузки декоративной ткани</t>
  </si>
  <si>
    <t>будут отправлены покупателям автомобильным транспортом.</t>
  </si>
  <si>
    <t>объем сбыта в плановом году, пог.м.</t>
  </si>
  <si>
    <t>транзитная норма отгрузки, ж/д, пог.м.</t>
  </si>
  <si>
    <t>транзитная норма отгрузки, авто, пог.м.</t>
  </si>
  <si>
    <t>ткань декоративная</t>
  </si>
  <si>
    <t>ткань бельевая</t>
  </si>
  <si>
    <t>ткань мебельная</t>
  </si>
  <si>
    <t>пог.м./день</t>
  </si>
  <si>
    <t>Всс,ж/д</t>
  </si>
  <si>
    <t>Всс,авто</t>
  </si>
  <si>
    <t>Зт,ж/д</t>
  </si>
  <si>
    <t>Зт,авто</t>
  </si>
  <si>
    <t>Зт,ж/д,дни</t>
  </si>
  <si>
    <t>Зт,авто,дни</t>
  </si>
  <si>
    <t>Зс,ж/д</t>
  </si>
  <si>
    <t>Зс,авто</t>
  </si>
  <si>
    <t>Зп,ж/д</t>
  </si>
  <si>
    <t>Зп,авто</t>
  </si>
  <si>
    <t>тут не уверен, хотя это и не спрашивается</t>
  </si>
  <si>
    <t>З,общий</t>
  </si>
  <si>
    <t>Всс,общий</t>
  </si>
  <si>
    <t>З,общий,дни</t>
  </si>
  <si>
    <t>тут тоже, но меньше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</si>
</sst>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0" fillId="0" borderId="0" xfId="0" applyAlignment="1">
      <alignment vertical="top" wrapText="1"/>
    </xf>
    <xf numFmtId="164" fontId="0" fillId="0" borderId="0" xfId="0" applyFont="1" applyAlignment="1">
      <alignment horizontal="left" vertical="center" wrapText="1"/>
    </xf>
    <xf numFmtId="164" fontId="1" fillId="0" borderId="0" xfId="0" applyFont="1" applyAlignment="1">
      <alignment vertical="top" wrapText="1"/>
    </xf>
    <xf numFmtId="164" fontId="0" fillId="0" borderId="0" xfId="0" applyAlignment="1">
      <alignment horizontal="left" vertical="center" wrapText="1"/>
    </xf>
    <xf numFmtId="164" fontId="2" fillId="0" borderId="0" xfId="0" applyFont="1" applyAlignment="1">
      <alignment vertical="top" wrapText="1"/>
    </xf>
    <xf numFmtId="164" fontId="3" fillId="0" borderId="0" xfId="0" applyFont="1" applyAlignment="1">
      <alignment vertical="top" wrapText="1"/>
    </xf>
    <xf numFmtId="164" fontId="4" fillId="0" borderId="0" xfId="0" applyFont="1" applyAlignment="1">
      <alignment vertical="top" wrapText="1"/>
    </xf>
    <xf numFmtId="164" fontId="0" fillId="0" borderId="0" xfId="0" applyFont="1" applyAlignment="1">
      <alignment vertical="top" wrapText="1"/>
    </xf>
    <xf numFmtId="164" fontId="0" fillId="0" borderId="0" xfId="0" applyAlignment="1">
      <alignment horizontal="center" vertical="center" wrapText="1"/>
    </xf>
    <xf numFmtId="164" fontId="0" fillId="0" borderId="0" xfId="0" applyFont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A16" sqref="A16"/>
    </sheetView>
  </sheetViews>
  <sheetFormatPr defaultColWidth="12.57421875" defaultRowHeight="12.75"/>
  <cols>
    <col min="1" max="1" width="62.8515625" style="1" customWidth="1"/>
    <col min="2" max="2" width="13.8515625" style="1" customWidth="1"/>
    <col min="3" max="3" width="14.57421875" style="1" customWidth="1"/>
    <col min="4" max="4" width="12.57421875" style="1" customWidth="1"/>
    <col min="5" max="6" width="13.28125" style="1" customWidth="1"/>
    <col min="7" max="7" width="12.8515625" style="1" customWidth="1"/>
    <col min="8" max="16384" width="11.57421875" style="1" customWidth="1"/>
  </cols>
  <sheetData>
    <row r="1" spans="1:7" ht="23.25" customHeight="1">
      <c r="A1" s="2" t="s">
        <v>0</v>
      </c>
      <c r="B1" s="2"/>
      <c r="C1" s="2"/>
      <c r="D1" s="2"/>
      <c r="E1" s="2"/>
      <c r="F1" s="2"/>
      <c r="G1" s="2"/>
    </row>
    <row r="2" spans="1:7" ht="12.75">
      <c r="A2" s="1" t="s">
        <v>1</v>
      </c>
      <c r="B2" s="3">
        <v>3500</v>
      </c>
      <c r="C2" s="1" t="s">
        <v>2</v>
      </c>
      <c r="D2" s="4"/>
      <c r="E2" s="4"/>
      <c r="F2" s="4"/>
      <c r="G2" s="4"/>
    </row>
    <row r="3" spans="1:7" ht="12.75">
      <c r="A3" s="1" t="s">
        <v>3</v>
      </c>
      <c r="B3" s="3">
        <v>3100</v>
      </c>
      <c r="C3" s="1" t="s">
        <v>2</v>
      </c>
      <c r="D3" s="4"/>
      <c r="E3" s="4"/>
      <c r="F3" s="4"/>
      <c r="G3" s="4"/>
    </row>
    <row r="4" ht="12.75">
      <c r="A4" s="1" t="s">
        <v>4</v>
      </c>
    </row>
    <row r="6" spans="1:7" ht="45.75">
      <c r="A6" s="5" t="s">
        <v>5</v>
      </c>
      <c r="B6" s="5" t="s">
        <v>6</v>
      </c>
      <c r="C6" s="5" t="s">
        <v>7</v>
      </c>
      <c r="D6" s="5" t="s">
        <v>8</v>
      </c>
      <c r="E6" s="5" t="s">
        <v>9</v>
      </c>
      <c r="F6" s="5" t="s">
        <v>10</v>
      </c>
      <c r="G6" s="5" t="s">
        <v>11</v>
      </c>
    </row>
    <row r="7" spans="1:7" ht="12.75">
      <c r="A7" s="1" t="s">
        <v>12</v>
      </c>
      <c r="B7" s="3">
        <v>1300</v>
      </c>
      <c r="C7" s="3">
        <v>230</v>
      </c>
      <c r="D7" s="3">
        <v>750</v>
      </c>
      <c r="E7" s="3">
        <v>480</v>
      </c>
      <c r="F7" s="3">
        <v>210</v>
      </c>
      <c r="G7" s="3">
        <v>25</v>
      </c>
    </row>
    <row r="8" spans="1:7" ht="12.75">
      <c r="A8" s="1" t="s">
        <v>13</v>
      </c>
      <c r="B8" s="3">
        <v>1660</v>
      </c>
      <c r="C8" s="3">
        <v>245</v>
      </c>
      <c r="D8" s="3">
        <v>1000</v>
      </c>
      <c r="E8" s="3">
        <v>610</v>
      </c>
      <c r="F8" s="3">
        <v>190</v>
      </c>
      <c r="G8" s="3">
        <v>45</v>
      </c>
    </row>
    <row r="10" ht="12.75">
      <c r="A10" s="1" t="s">
        <v>12</v>
      </c>
    </row>
    <row r="11" spans="1:3" ht="12.75">
      <c r="A11" s="1" t="s">
        <v>14</v>
      </c>
      <c r="B11" s="6">
        <f>F7+D7+E7</f>
        <v>1440</v>
      </c>
      <c r="C11" s="7" t="s">
        <v>15</v>
      </c>
    </row>
    <row r="12" spans="1:3" ht="12.75">
      <c r="A12" s="1" t="s">
        <v>16</v>
      </c>
      <c r="B12" s="6">
        <f>B11*B2</f>
        <v>5040000</v>
      </c>
      <c r="C12" s="7" t="s">
        <v>2</v>
      </c>
    </row>
    <row r="13" spans="1:3" ht="12.75">
      <c r="A13" s="1" t="s">
        <v>17</v>
      </c>
      <c r="B13" s="6">
        <f>B7-B11+C7-G7</f>
        <v>65</v>
      </c>
      <c r="C13" s="7" t="s">
        <v>15</v>
      </c>
    </row>
    <row r="14" spans="1:3" ht="12.75">
      <c r="A14" s="1" t="s">
        <v>18</v>
      </c>
      <c r="B14" s="6">
        <f>B13*B2</f>
        <v>227500</v>
      </c>
      <c r="C14" s="7" t="s">
        <v>2</v>
      </c>
    </row>
    <row r="15" spans="1:3" ht="12.75">
      <c r="A15" s="1" t="s">
        <v>19</v>
      </c>
      <c r="B15" s="1">
        <f>B7/360</f>
        <v>3.611111111111111</v>
      </c>
      <c r="C15" s="1" t="s">
        <v>20</v>
      </c>
    </row>
    <row r="16" spans="1:3" ht="12.75">
      <c r="A16" s="1" t="s">
        <v>21</v>
      </c>
      <c r="B16" s="1">
        <f>B15*B2</f>
        <v>12638.888888888889</v>
      </c>
      <c r="C16" s="1" t="s">
        <v>22</v>
      </c>
    </row>
    <row r="17" spans="1:3" ht="12.75">
      <c r="A17" s="1" t="s">
        <v>23</v>
      </c>
      <c r="B17" s="6">
        <f>B13/B15</f>
        <v>18</v>
      </c>
      <c r="C17" s="7" t="s">
        <v>24</v>
      </c>
    </row>
    <row r="19" ht="12.75">
      <c r="A19" s="1" t="s">
        <v>13</v>
      </c>
    </row>
    <row r="20" spans="1:3" ht="12.75">
      <c r="A20" s="1" t="s">
        <v>14</v>
      </c>
      <c r="B20" s="6">
        <f>F8+D8+E8</f>
        <v>1800</v>
      </c>
      <c r="C20" s="7" t="s">
        <v>15</v>
      </c>
    </row>
    <row r="21" spans="1:3" ht="12.75">
      <c r="A21" s="1" t="s">
        <v>16</v>
      </c>
      <c r="B21" s="6">
        <f>B20*B3</f>
        <v>5580000</v>
      </c>
      <c r="C21" s="7" t="s">
        <v>2</v>
      </c>
    </row>
    <row r="22" spans="1:3" ht="12.75">
      <c r="A22" s="1" t="s">
        <v>17</v>
      </c>
      <c r="B22" s="6">
        <f>B8-B20+C8-G8</f>
        <v>60</v>
      </c>
      <c r="C22" s="7" t="s">
        <v>15</v>
      </c>
    </row>
    <row r="23" spans="1:3" ht="12.75">
      <c r="A23" s="1" t="s">
        <v>18</v>
      </c>
      <c r="B23" s="6">
        <f>B22*B3</f>
        <v>186000</v>
      </c>
      <c r="C23" s="7" t="s">
        <v>2</v>
      </c>
    </row>
    <row r="24" spans="1:3" ht="12.75">
      <c r="A24" s="1" t="s">
        <v>19</v>
      </c>
      <c r="B24" s="1">
        <f>B8/360</f>
        <v>4.611111111111111</v>
      </c>
      <c r="C24" s="1" t="s">
        <v>20</v>
      </c>
    </row>
    <row r="25" spans="1:3" ht="12.75">
      <c r="A25" s="1" t="s">
        <v>21</v>
      </c>
      <c r="B25" s="1">
        <f>B24*B3</f>
        <v>14294.444444444443</v>
      </c>
      <c r="C25" s="1" t="s">
        <v>22</v>
      </c>
    </row>
    <row r="26" spans="1:3" ht="12.75">
      <c r="A26" s="1" t="s">
        <v>23</v>
      </c>
      <c r="B26" s="6">
        <f>B22/B24</f>
        <v>13.012048192771086</v>
      </c>
      <c r="C26" s="7" t="s">
        <v>24</v>
      </c>
    </row>
  </sheetData>
  <sheetProtection selectLockedCells="1" selectUnlockedCells="1"/>
  <mergeCells count="3">
    <mergeCell ref="A1:G1"/>
    <mergeCell ref="D2:G2"/>
    <mergeCell ref="D3:G3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B28" sqref="B28"/>
    </sheetView>
  </sheetViews>
  <sheetFormatPr defaultColWidth="12.57421875" defaultRowHeight="12.75"/>
  <cols>
    <col min="1" max="1" width="62.8515625" style="1" customWidth="1"/>
    <col min="2" max="2" width="13.8515625" style="1" customWidth="1"/>
    <col min="3" max="6" width="14.57421875" style="1" customWidth="1"/>
    <col min="7" max="16384" width="11.57421875" style="1" customWidth="1"/>
  </cols>
  <sheetData>
    <row r="1" spans="1:6" ht="12.75" customHeight="1">
      <c r="A1" s="2" t="s">
        <v>115</v>
      </c>
      <c r="B1" s="2"/>
      <c r="C1" s="2"/>
      <c r="D1" s="2"/>
      <c r="E1" s="2"/>
      <c r="F1" s="2"/>
    </row>
    <row r="3" spans="1:6" ht="23.25">
      <c r="A3" s="5" t="s">
        <v>105</v>
      </c>
      <c r="B3" s="5" t="s">
        <v>116</v>
      </c>
      <c r="C3" s="5" t="s">
        <v>117</v>
      </c>
      <c r="D3" s="5" t="s">
        <v>118</v>
      </c>
      <c r="E3" s="5" t="s">
        <v>119</v>
      </c>
      <c r="F3" s="5" t="s">
        <v>120</v>
      </c>
    </row>
    <row r="4" spans="1:6" ht="12.75">
      <c r="A4" s="1" t="s">
        <v>121</v>
      </c>
      <c r="B4" s="3"/>
      <c r="C4" s="3"/>
      <c r="D4" s="3">
        <v>44200</v>
      </c>
      <c r="E4" s="3">
        <v>3050</v>
      </c>
      <c r="F4" s="3">
        <v>1300</v>
      </c>
    </row>
    <row r="5" spans="1:6" ht="12.75">
      <c r="A5" s="1" t="s">
        <v>122</v>
      </c>
      <c r="B5" s="3">
        <v>5</v>
      </c>
      <c r="C5" s="3"/>
      <c r="D5" s="3"/>
      <c r="E5" s="3">
        <v>2750</v>
      </c>
      <c r="F5" s="3">
        <v>850</v>
      </c>
    </row>
    <row r="6" spans="1:6" ht="12.75">
      <c r="A6" s="1" t="s">
        <v>123</v>
      </c>
      <c r="B6" s="3"/>
      <c r="C6" s="3">
        <v>20</v>
      </c>
      <c r="D6" s="3"/>
      <c r="E6" s="3">
        <v>1210</v>
      </c>
      <c r="F6" s="3">
        <v>2000</v>
      </c>
    </row>
    <row r="8" ht="12.75">
      <c r="A8" s="1" t="s">
        <v>124</v>
      </c>
    </row>
    <row r="9" spans="1:3" ht="12.75">
      <c r="A9" s="1" t="s">
        <v>19</v>
      </c>
      <c r="B9" s="8">
        <f>E4/360</f>
        <v>8.472222222222221</v>
      </c>
      <c r="C9" s="8" t="s">
        <v>35</v>
      </c>
    </row>
    <row r="10" spans="1:3" ht="12.75">
      <c r="A10" s="1" t="s">
        <v>125</v>
      </c>
      <c r="B10" s="8">
        <f>B9*F4</f>
        <v>11013.888888888889</v>
      </c>
      <c r="C10" s="1" t="s">
        <v>22</v>
      </c>
    </row>
    <row r="11" spans="1:3" ht="12.75">
      <c r="A11" s="1" t="s">
        <v>126</v>
      </c>
      <c r="B11" s="6">
        <f>D4/F4</f>
        <v>34</v>
      </c>
      <c r="C11" s="7" t="s">
        <v>27</v>
      </c>
    </row>
    <row r="12" spans="1:3" ht="12.75">
      <c r="A12" s="1" t="s">
        <v>127</v>
      </c>
      <c r="B12" s="6">
        <f>B11/B9</f>
        <v>4.013114754098361</v>
      </c>
      <c r="C12" s="7" t="s">
        <v>24</v>
      </c>
    </row>
    <row r="14" ht="12.75">
      <c r="A14" s="1" t="s">
        <v>128</v>
      </c>
    </row>
    <row r="15" spans="1:3" ht="12.75">
      <c r="A15" s="1" t="s">
        <v>19</v>
      </c>
      <c r="B15" s="8">
        <f>E5/360</f>
        <v>7.638888888888889</v>
      </c>
      <c r="C15" s="8" t="s">
        <v>35</v>
      </c>
    </row>
    <row r="16" spans="1:3" ht="12.75">
      <c r="A16" s="1" t="s">
        <v>125</v>
      </c>
      <c r="B16" s="8">
        <f>B15*F5</f>
        <v>6493.055555555556</v>
      </c>
      <c r="C16" s="1" t="s">
        <v>22</v>
      </c>
    </row>
    <row r="17" spans="1:3" ht="12.75">
      <c r="A17" s="1" t="s">
        <v>126</v>
      </c>
      <c r="B17" s="6">
        <f>B15*B5</f>
        <v>38.19444444444444</v>
      </c>
      <c r="C17" s="7" t="s">
        <v>27</v>
      </c>
    </row>
    <row r="18" spans="1:3" ht="12.75">
      <c r="A18" s="1" t="s">
        <v>129</v>
      </c>
      <c r="B18" s="6">
        <f>B17*F5</f>
        <v>32465.277777777777</v>
      </c>
      <c r="C18" s="7" t="s">
        <v>2</v>
      </c>
    </row>
    <row r="19" spans="2:3" ht="12.75">
      <c r="B19" s="6"/>
      <c r="C19" s="7"/>
    </row>
    <row r="20" ht="12.75">
      <c r="A20" s="1" t="s">
        <v>130</v>
      </c>
    </row>
    <row r="21" spans="1:3" ht="12.75">
      <c r="A21" s="1" t="s">
        <v>19</v>
      </c>
      <c r="B21" s="8">
        <f>E6/360</f>
        <v>3.361111111111111</v>
      </c>
      <c r="C21" s="8" t="s">
        <v>35</v>
      </c>
    </row>
    <row r="22" spans="1:3" ht="12.75">
      <c r="A22" s="1" t="s">
        <v>125</v>
      </c>
      <c r="B22" s="8">
        <f>B21*F6</f>
        <v>6722.222222222223</v>
      </c>
      <c r="C22" s="1" t="s">
        <v>22</v>
      </c>
    </row>
    <row r="23" spans="1:3" ht="12.75">
      <c r="A23" s="1" t="s">
        <v>127</v>
      </c>
      <c r="B23" s="6">
        <f>C6/B21</f>
        <v>5.950413223140496</v>
      </c>
      <c r="C23" s="7" t="s">
        <v>24</v>
      </c>
    </row>
    <row r="24" spans="1:3" ht="12.75">
      <c r="A24" s="1" t="s">
        <v>129</v>
      </c>
      <c r="B24" s="6">
        <f>C6*F6</f>
        <v>40000</v>
      </c>
      <c r="C24" s="7" t="s">
        <v>2</v>
      </c>
    </row>
    <row r="26" spans="1:3" ht="12.75">
      <c r="A26" s="1" t="s">
        <v>131</v>
      </c>
      <c r="B26" s="6">
        <f>D4+B18+B24</f>
        <v>116665.27777777778</v>
      </c>
      <c r="C26" s="7" t="s">
        <v>2</v>
      </c>
    </row>
    <row r="27" spans="1:3" ht="12.75">
      <c r="A27" s="1" t="s">
        <v>132</v>
      </c>
      <c r="B27" s="1">
        <f>B10+B16+B22</f>
        <v>24229.166666666668</v>
      </c>
      <c r="C27" s="1" t="s">
        <v>22</v>
      </c>
    </row>
    <row r="28" spans="1:3" ht="12.75">
      <c r="A28" s="1" t="s">
        <v>133</v>
      </c>
      <c r="B28" s="6">
        <f>B26/B27</f>
        <v>4.8150759529951275</v>
      </c>
      <c r="C28" s="7" t="s">
        <v>24</v>
      </c>
    </row>
  </sheetData>
  <sheetProtection selectLockedCells="1" selectUnlockedCells="1"/>
  <mergeCells count="1">
    <mergeCell ref="A1:F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B10" sqref="B10"/>
    </sheetView>
  </sheetViews>
  <sheetFormatPr defaultColWidth="12.57421875" defaultRowHeight="12.75"/>
  <cols>
    <col min="1" max="1" width="62.8515625" style="1" customWidth="1"/>
    <col min="2" max="2" width="13.8515625" style="1" customWidth="1"/>
    <col min="3" max="6" width="14.57421875" style="1" customWidth="1"/>
    <col min="7" max="16384" width="11.57421875" style="1" customWidth="1"/>
  </cols>
  <sheetData>
    <row r="1" spans="1:6" ht="23.25" customHeight="1">
      <c r="A1" s="2" t="s">
        <v>134</v>
      </c>
      <c r="B1" s="2"/>
      <c r="C1" s="2"/>
      <c r="D1" s="2"/>
      <c r="E1" s="2"/>
      <c r="F1" s="2"/>
    </row>
    <row r="3" spans="1:6" ht="23.25">
      <c r="A3" s="5" t="s">
        <v>5</v>
      </c>
      <c r="B3" s="5" t="s">
        <v>117</v>
      </c>
      <c r="C3" s="5" t="s">
        <v>116</v>
      </c>
      <c r="D3" s="5" t="s">
        <v>135</v>
      </c>
      <c r="E3" s="5"/>
      <c r="F3" s="5"/>
    </row>
    <row r="4" spans="1:6" ht="12.75">
      <c r="A4" s="1" t="s">
        <v>136</v>
      </c>
      <c r="B4" s="3">
        <v>50</v>
      </c>
      <c r="C4" s="3">
        <v>20</v>
      </c>
      <c r="D4" s="3">
        <v>100000</v>
      </c>
      <c r="E4" s="3"/>
      <c r="F4" s="3"/>
    </row>
    <row r="5" spans="1:6" ht="12.75">
      <c r="A5" s="1" t="s">
        <v>137</v>
      </c>
      <c r="B5" s="3">
        <v>450</v>
      </c>
      <c r="C5" s="3">
        <v>15</v>
      </c>
      <c r="D5" s="3">
        <v>11000</v>
      </c>
      <c r="E5" s="3"/>
      <c r="F5" s="3"/>
    </row>
    <row r="6" spans="1:6" ht="12.75">
      <c r="A6" s="1" t="s">
        <v>138</v>
      </c>
      <c r="B6" s="3">
        <v>500</v>
      </c>
      <c r="C6" s="3">
        <v>10</v>
      </c>
      <c r="D6" s="3">
        <v>7500</v>
      </c>
      <c r="E6" s="3"/>
      <c r="F6" s="3"/>
    </row>
    <row r="8" spans="1:3" ht="12.75">
      <c r="A8" s="1" t="s">
        <v>113</v>
      </c>
      <c r="B8" s="1">
        <f>B4*D4/C4+B5*D5/C5+B6*D6/C6</f>
        <v>955000</v>
      </c>
      <c r="C8" s="1" t="s">
        <v>139</v>
      </c>
    </row>
    <row r="9" spans="1:3" ht="12.75">
      <c r="A9" s="1" t="s">
        <v>102</v>
      </c>
      <c r="B9" s="6">
        <f>B4*D4+B5*D5+B6*D6</f>
        <v>13700000</v>
      </c>
      <c r="C9" s="7" t="s">
        <v>52</v>
      </c>
    </row>
    <row r="10" spans="1:3" ht="12.75">
      <c r="A10" s="1" t="s">
        <v>103</v>
      </c>
      <c r="B10" s="6">
        <f>B9/B8</f>
        <v>14.345549738219896</v>
      </c>
      <c r="C10" s="7" t="s">
        <v>24</v>
      </c>
    </row>
  </sheetData>
  <sheetProtection selectLockedCells="1" selectUnlockedCells="1"/>
  <mergeCells count="1">
    <mergeCell ref="A1:F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45"/>
  <sheetViews>
    <sheetView tabSelected="1" workbookViewId="0" topLeftCell="A4">
      <selection activeCell="C35" sqref="C35"/>
    </sheetView>
  </sheetViews>
  <sheetFormatPr defaultColWidth="12.57421875" defaultRowHeight="12.75"/>
  <cols>
    <col min="1" max="1" width="62.8515625" style="1" customWidth="1"/>
    <col min="2" max="2" width="13.8515625" style="1" customWidth="1"/>
    <col min="3" max="6" width="14.57421875" style="1" customWidth="1"/>
    <col min="7" max="16384" width="11.57421875" style="1" customWidth="1"/>
  </cols>
  <sheetData>
    <row r="1" spans="1:6" ht="23.25" customHeight="1">
      <c r="A1" s="10" t="s">
        <v>140</v>
      </c>
      <c r="B1" s="10"/>
      <c r="C1" s="10"/>
      <c r="D1" s="10"/>
      <c r="E1" s="10"/>
      <c r="F1" s="10"/>
    </row>
    <row r="2" spans="1:6" ht="23.25">
      <c r="A2" s="10" t="s">
        <v>141</v>
      </c>
      <c r="B2" s="3">
        <v>6</v>
      </c>
      <c r="C2" s="8" t="s">
        <v>24</v>
      </c>
      <c r="D2" s="4"/>
      <c r="E2" s="4"/>
      <c r="F2" s="4"/>
    </row>
    <row r="3" spans="1:6" ht="12.75">
      <c r="A3" s="10" t="s">
        <v>142</v>
      </c>
      <c r="B3" s="3">
        <v>2</v>
      </c>
      <c r="C3" s="8" t="s">
        <v>24</v>
      </c>
      <c r="D3" s="4"/>
      <c r="E3" s="4"/>
      <c r="F3" s="4"/>
    </row>
    <row r="4" spans="1:6" ht="23.25" customHeight="1">
      <c r="A4" s="10" t="s">
        <v>143</v>
      </c>
      <c r="B4" s="3">
        <v>50000</v>
      </c>
      <c r="C4" s="8" t="s">
        <v>48</v>
      </c>
      <c r="D4" s="4" t="s">
        <v>144</v>
      </c>
      <c r="E4" s="4"/>
      <c r="F4" s="4"/>
    </row>
    <row r="6" spans="1:6" ht="45.75">
      <c r="A6" s="5" t="s">
        <v>5</v>
      </c>
      <c r="B6" s="5" t="s">
        <v>145</v>
      </c>
      <c r="C6" s="5" t="s">
        <v>146</v>
      </c>
      <c r="D6" s="5" t="s">
        <v>147</v>
      </c>
      <c r="E6" s="5"/>
      <c r="F6" s="5"/>
    </row>
    <row r="7" spans="1:6" ht="12.75">
      <c r="A7" s="1" t="s">
        <v>148</v>
      </c>
      <c r="B7" s="3">
        <v>200000</v>
      </c>
      <c r="C7" s="3">
        <v>10000</v>
      </c>
      <c r="D7" s="3">
        <v>3000</v>
      </c>
      <c r="E7" s="3"/>
      <c r="F7" s="3"/>
    </row>
    <row r="8" spans="1:6" ht="12.75">
      <c r="A8" s="1" t="s">
        <v>149</v>
      </c>
      <c r="B8" s="3">
        <v>10000</v>
      </c>
      <c r="C8" s="3">
        <v>8000</v>
      </c>
      <c r="D8" s="3"/>
      <c r="E8" s="3"/>
      <c r="F8" s="3"/>
    </row>
    <row r="9" spans="1:6" ht="12.75">
      <c r="A9" s="1" t="s">
        <v>150</v>
      </c>
      <c r="B9" s="3">
        <v>75000</v>
      </c>
      <c r="C9" s="3"/>
      <c r="D9" s="3">
        <v>3000</v>
      </c>
      <c r="E9" s="3"/>
      <c r="F9" s="3"/>
    </row>
    <row r="11" ht="12.75">
      <c r="A11" s="1" t="s">
        <v>149</v>
      </c>
    </row>
    <row r="12" spans="1:3" ht="12.75">
      <c r="A12" s="1" t="s">
        <v>19</v>
      </c>
      <c r="B12" s="1">
        <f>B8/360</f>
        <v>27.77777777777778</v>
      </c>
      <c r="C12" s="1" t="s">
        <v>151</v>
      </c>
    </row>
    <row r="13" spans="1:3" ht="12.75">
      <c r="A13" s="1" t="s">
        <v>98</v>
      </c>
      <c r="B13" s="8">
        <f>C8/2</f>
        <v>4000</v>
      </c>
      <c r="C13" s="8" t="s">
        <v>48</v>
      </c>
    </row>
    <row r="14" spans="1:3" ht="12.75">
      <c r="A14" s="1" t="s">
        <v>99</v>
      </c>
      <c r="B14" s="8">
        <f>B13/B12</f>
        <v>144</v>
      </c>
      <c r="C14" s="8" t="s">
        <v>24</v>
      </c>
    </row>
    <row r="15" spans="1:3" ht="12.75">
      <c r="A15" s="1" t="s">
        <v>101</v>
      </c>
      <c r="B15" s="8">
        <f>B2*B12</f>
        <v>166.66666666666669</v>
      </c>
      <c r="C15" s="8" t="s">
        <v>48</v>
      </c>
    </row>
    <row r="16" spans="1:3" ht="12.75">
      <c r="A16" s="1" t="s">
        <v>100</v>
      </c>
      <c r="B16" s="8">
        <f>B3*B12</f>
        <v>55.55555555555556</v>
      </c>
      <c r="C16" s="8" t="s">
        <v>48</v>
      </c>
    </row>
    <row r="17" spans="1:3" ht="12.75">
      <c r="A17" s="1" t="s">
        <v>102</v>
      </c>
      <c r="B17" s="6">
        <f>B13+B15+B16</f>
        <v>4222.222222222223</v>
      </c>
      <c r="C17" s="7" t="s">
        <v>48</v>
      </c>
    </row>
    <row r="18" spans="1:3" ht="12.75">
      <c r="A18" s="1" t="s">
        <v>103</v>
      </c>
      <c r="B18" s="6">
        <f>B14+B2+B3</f>
        <v>152</v>
      </c>
      <c r="C18" s="7" t="s">
        <v>24</v>
      </c>
    </row>
    <row r="20" ht="12.75">
      <c r="A20" s="1" t="s">
        <v>150</v>
      </c>
    </row>
    <row r="21" spans="1:3" ht="12.75">
      <c r="A21" s="1" t="s">
        <v>19</v>
      </c>
      <c r="B21" s="8">
        <f>B9/360</f>
        <v>208.33333333333334</v>
      </c>
      <c r="C21" s="1" t="s">
        <v>151</v>
      </c>
    </row>
    <row r="22" spans="1:3" ht="12.75">
      <c r="A22" s="1" t="s">
        <v>98</v>
      </c>
      <c r="B22" s="8">
        <f>D9/2</f>
        <v>1500</v>
      </c>
      <c r="C22" s="8" t="s">
        <v>48</v>
      </c>
    </row>
    <row r="23" spans="1:3" ht="12.75">
      <c r="A23" s="1" t="s">
        <v>99</v>
      </c>
      <c r="B23" s="8">
        <f>B22/B21</f>
        <v>7.199999999999999</v>
      </c>
      <c r="C23" s="8" t="s">
        <v>24</v>
      </c>
    </row>
    <row r="24" spans="1:3" ht="12.75">
      <c r="A24" s="1" t="s">
        <v>101</v>
      </c>
      <c r="B24" s="8">
        <f>B2*B21</f>
        <v>1250</v>
      </c>
      <c r="C24" s="8" t="s">
        <v>48</v>
      </c>
    </row>
    <row r="25" spans="1:3" ht="12.75">
      <c r="A25" s="1" t="s">
        <v>100</v>
      </c>
      <c r="B25" s="8">
        <f>B3*B21</f>
        <v>416.6666666666667</v>
      </c>
      <c r="C25" s="8" t="s">
        <v>48</v>
      </c>
    </row>
    <row r="26" spans="1:3" ht="12.75">
      <c r="A26" s="1" t="s">
        <v>102</v>
      </c>
      <c r="B26" s="6">
        <f>B22+B24+B25</f>
        <v>3166.6666666666665</v>
      </c>
      <c r="C26" s="7" t="s">
        <v>48</v>
      </c>
    </row>
    <row r="27" spans="1:3" ht="12.75">
      <c r="A27" s="1" t="s">
        <v>103</v>
      </c>
      <c r="B27" s="6">
        <f>B23+B2+B3</f>
        <v>15.2</v>
      </c>
      <c r="C27" s="7" t="s">
        <v>24</v>
      </c>
    </row>
    <row r="28" spans="2:3" ht="12.75">
      <c r="B28" s="6"/>
      <c r="C28" s="7"/>
    </row>
    <row r="29" ht="12.75">
      <c r="A29" s="1" t="s">
        <v>148</v>
      </c>
    </row>
    <row r="30" spans="1:3" ht="12.75">
      <c r="A30" s="1" t="s">
        <v>152</v>
      </c>
      <c r="B30" s="8">
        <f>(B7-B4)/360</f>
        <v>416.6666666666667</v>
      </c>
      <c r="C30" s="1" t="s">
        <v>151</v>
      </c>
    </row>
    <row r="31" spans="1:3" ht="12.75">
      <c r="A31" s="1" t="s">
        <v>153</v>
      </c>
      <c r="B31" s="8">
        <f>(B4)/360</f>
        <v>138.88888888888889</v>
      </c>
      <c r="C31" s="1" t="s">
        <v>151</v>
      </c>
    </row>
    <row r="32" spans="1:3" ht="12.75">
      <c r="A32" s="1" t="s">
        <v>154</v>
      </c>
      <c r="B32" s="8">
        <f>C7/2</f>
        <v>5000</v>
      </c>
      <c r="C32" s="8" t="s">
        <v>48</v>
      </c>
    </row>
    <row r="33" spans="1:3" ht="12.75">
      <c r="A33" s="1" t="s">
        <v>155</v>
      </c>
      <c r="B33" s="8">
        <f>D7/2</f>
        <v>1500</v>
      </c>
      <c r="C33" s="8" t="s">
        <v>48</v>
      </c>
    </row>
    <row r="34" spans="1:3" ht="12.75">
      <c r="A34" s="1" t="s">
        <v>156</v>
      </c>
      <c r="B34" s="8">
        <f>B32/B30</f>
        <v>12</v>
      </c>
      <c r="C34" s="8" t="s">
        <v>24</v>
      </c>
    </row>
    <row r="35" spans="1:3" ht="12.75">
      <c r="A35" s="1" t="s">
        <v>157</v>
      </c>
      <c r="B35" s="8">
        <f>B33/B31</f>
        <v>10.8</v>
      </c>
      <c r="C35" s="8" t="s">
        <v>24</v>
      </c>
    </row>
    <row r="36" spans="1:3" ht="12.75">
      <c r="A36" s="1" t="s">
        <v>158</v>
      </c>
      <c r="B36" s="8">
        <f>B2*B30</f>
        <v>2500</v>
      </c>
      <c r="C36" s="8" t="s">
        <v>48</v>
      </c>
    </row>
    <row r="37" spans="1:3" ht="12.75">
      <c r="A37" s="1" t="s">
        <v>159</v>
      </c>
      <c r="B37" s="8">
        <f>B2*B31</f>
        <v>833.3333333333333</v>
      </c>
      <c r="C37" s="8" t="s">
        <v>48</v>
      </c>
    </row>
    <row r="38" spans="1:3" ht="12.75">
      <c r="A38" s="1" t="s">
        <v>160</v>
      </c>
      <c r="B38" s="8">
        <f>B3*B30</f>
        <v>833.3333333333334</v>
      </c>
      <c r="C38" s="8" t="s">
        <v>48</v>
      </c>
    </row>
    <row r="39" spans="1:3" ht="12.75">
      <c r="A39" s="1" t="s">
        <v>161</v>
      </c>
      <c r="B39" s="8">
        <f>B3*B31</f>
        <v>277.77777777777777</v>
      </c>
      <c r="C39" s="8" t="s">
        <v>48</v>
      </c>
    </row>
    <row r="40" spans="1:3" ht="12.75">
      <c r="A40" s="1" t="s">
        <v>102</v>
      </c>
      <c r="B40" s="6">
        <f>B32+B33+B36+B37+B38+B39</f>
        <v>10944.444444444445</v>
      </c>
      <c r="C40" s="7" t="s">
        <v>48</v>
      </c>
    </row>
    <row r="41" spans="1:6" ht="12.75" customHeight="1">
      <c r="A41" s="1" t="s">
        <v>103</v>
      </c>
      <c r="B41" s="6">
        <f>B34+B35+B2+B3+B2+B3</f>
        <v>38.8</v>
      </c>
      <c r="C41" s="7" t="s">
        <v>24</v>
      </c>
      <c r="D41" s="4" t="s">
        <v>162</v>
      </c>
      <c r="E41" s="4"/>
      <c r="F41" s="4"/>
    </row>
    <row r="42" spans="2:3" ht="12.75">
      <c r="B42" s="8"/>
      <c r="C42" s="8"/>
    </row>
    <row r="43" spans="1:3" ht="12.75">
      <c r="A43" s="1" t="s">
        <v>163</v>
      </c>
      <c r="B43" s="6">
        <f>B17+B26+B40</f>
        <v>18333.333333333336</v>
      </c>
      <c r="C43" s="7" t="s">
        <v>48</v>
      </c>
    </row>
    <row r="44" spans="1:3" ht="12.75">
      <c r="A44" s="1" t="s">
        <v>164</v>
      </c>
      <c r="B44" s="8">
        <f>B12+B21+B30+B31</f>
        <v>791.6666666666667</v>
      </c>
      <c r="C44" s="8" t="s">
        <v>151</v>
      </c>
    </row>
    <row r="45" spans="1:6" ht="12.75" customHeight="1">
      <c r="A45" s="1" t="s">
        <v>165</v>
      </c>
      <c r="B45" s="6">
        <f>B43/B44</f>
        <v>23.157894736842106</v>
      </c>
      <c r="C45" s="7" t="s">
        <v>24</v>
      </c>
      <c r="D45" s="4" t="s">
        <v>166</v>
      </c>
      <c r="E45" s="4"/>
      <c r="F45" s="4"/>
    </row>
  </sheetData>
  <sheetProtection selectLockedCells="1" selectUnlockedCells="1"/>
  <mergeCells count="6">
    <mergeCell ref="A1:F1"/>
    <mergeCell ref="D2:F2"/>
    <mergeCell ref="D3:F3"/>
    <mergeCell ref="D4:F4"/>
    <mergeCell ref="D41:F41"/>
    <mergeCell ref="D45:F4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A9" sqref="A9"/>
    </sheetView>
  </sheetViews>
  <sheetFormatPr defaultColWidth="12.57421875" defaultRowHeight="12.75"/>
  <cols>
    <col min="1" max="1" width="62.8515625" style="1" customWidth="1"/>
    <col min="2" max="2" width="13.8515625" style="1" customWidth="1"/>
    <col min="3" max="3" width="14.57421875" style="1" customWidth="1"/>
    <col min="4" max="4" width="12.57421875" style="1" customWidth="1"/>
    <col min="5" max="6" width="13.28125" style="1" customWidth="1"/>
    <col min="7" max="7" width="12.8515625" style="1" customWidth="1"/>
    <col min="8" max="16384" width="11.57421875" style="1" customWidth="1"/>
  </cols>
  <sheetData>
    <row r="1" spans="1:7" ht="23.25" customHeight="1">
      <c r="A1" s="2" t="s">
        <v>25</v>
      </c>
      <c r="B1" s="2"/>
      <c r="C1" s="2"/>
      <c r="D1" s="2"/>
      <c r="E1" s="2"/>
      <c r="F1" s="2"/>
      <c r="G1" s="2"/>
    </row>
    <row r="2" spans="1:7" ht="12.75">
      <c r="A2" s="8" t="s">
        <v>26</v>
      </c>
      <c r="B2" s="3">
        <v>180</v>
      </c>
      <c r="C2" s="1" t="s">
        <v>27</v>
      </c>
      <c r="D2" s="4"/>
      <c r="E2" s="4"/>
      <c r="F2" s="4"/>
      <c r="G2" s="4"/>
    </row>
    <row r="3" spans="1:7" ht="12.75">
      <c r="A3" s="8" t="s">
        <v>28</v>
      </c>
      <c r="B3" s="3">
        <v>10</v>
      </c>
      <c r="C3" s="1" t="s">
        <v>27</v>
      </c>
      <c r="D3" s="4"/>
      <c r="E3" s="4"/>
      <c r="F3" s="4"/>
      <c r="G3" s="4"/>
    </row>
    <row r="4" spans="1:7" ht="12.75">
      <c r="A4" s="8" t="s">
        <v>29</v>
      </c>
      <c r="B4" s="3">
        <v>45</v>
      </c>
      <c r="C4" s="1" t="s">
        <v>27</v>
      </c>
      <c r="D4" s="4"/>
      <c r="E4" s="4"/>
      <c r="F4" s="4"/>
      <c r="G4" s="4"/>
    </row>
    <row r="5" spans="1:7" ht="12.75">
      <c r="A5" s="8" t="s">
        <v>30</v>
      </c>
      <c r="B5" s="3">
        <v>40</v>
      </c>
      <c r="C5" s="1" t="s">
        <v>27</v>
      </c>
      <c r="D5" s="4"/>
      <c r="E5" s="4"/>
      <c r="F5" s="4"/>
      <c r="G5" s="4"/>
    </row>
    <row r="6" spans="1:7" ht="23.25" customHeight="1">
      <c r="A6" s="8" t="s">
        <v>31</v>
      </c>
      <c r="B6" s="3">
        <v>15</v>
      </c>
      <c r="C6" s="1" t="s">
        <v>27</v>
      </c>
      <c r="D6" s="4" t="s">
        <v>32</v>
      </c>
      <c r="E6" s="4"/>
      <c r="F6" s="4"/>
      <c r="G6" s="4"/>
    </row>
    <row r="7" spans="1:7" ht="23.25">
      <c r="A7" s="8" t="s">
        <v>33</v>
      </c>
      <c r="B7" s="3">
        <v>5</v>
      </c>
      <c r="C7" s="1" t="s">
        <v>24</v>
      </c>
      <c r="D7" s="9"/>
      <c r="E7" s="9"/>
      <c r="F7" s="9"/>
      <c r="G7" s="9"/>
    </row>
    <row r="9" spans="1:3" ht="12.75">
      <c r="A9" s="1" t="s">
        <v>34</v>
      </c>
      <c r="B9" s="8">
        <f>B3+B5+B6-B4</f>
        <v>20</v>
      </c>
      <c r="C9" s="1" t="s">
        <v>27</v>
      </c>
    </row>
    <row r="10" spans="1:3" ht="12.75">
      <c r="A10" s="1" t="s">
        <v>19</v>
      </c>
      <c r="B10" s="8">
        <f>B2/90</f>
        <v>2</v>
      </c>
      <c r="C10" s="1" t="s">
        <v>35</v>
      </c>
    </row>
    <row r="11" spans="1:3" ht="12.75">
      <c r="A11" s="1" t="s">
        <v>36</v>
      </c>
      <c r="B11" s="8">
        <f>B7*B10</f>
        <v>10</v>
      </c>
      <c r="C11" s="1" t="s">
        <v>27</v>
      </c>
    </row>
    <row r="12" spans="1:3" ht="12.75">
      <c r="A12" s="1" t="s">
        <v>37</v>
      </c>
      <c r="B12" s="6">
        <f>B2+B9-B11</f>
        <v>190</v>
      </c>
      <c r="C12" s="7" t="s">
        <v>27</v>
      </c>
    </row>
  </sheetData>
  <sheetProtection selectLockedCells="1" selectUnlockedCells="1"/>
  <mergeCells count="7">
    <mergeCell ref="A1:G1"/>
    <mergeCell ref="D2:G2"/>
    <mergeCell ref="D3:G3"/>
    <mergeCell ref="D4:G4"/>
    <mergeCell ref="D5:G5"/>
    <mergeCell ref="D6:G6"/>
    <mergeCell ref="D7:G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B6" sqref="B6"/>
    </sheetView>
  </sheetViews>
  <sheetFormatPr defaultColWidth="12.57421875" defaultRowHeight="12.75"/>
  <cols>
    <col min="1" max="1" width="62.8515625" style="1" customWidth="1"/>
    <col min="2" max="2" width="13.8515625" style="1" customWidth="1"/>
    <col min="3" max="3" width="14.57421875" style="1" customWidth="1"/>
    <col min="4" max="4" width="12.57421875" style="1" customWidth="1"/>
    <col min="5" max="6" width="13.28125" style="1" customWidth="1"/>
    <col min="7" max="7" width="12.8515625" style="1" customWidth="1"/>
    <col min="8" max="16384" width="11.57421875" style="1" customWidth="1"/>
  </cols>
  <sheetData>
    <row r="1" spans="1:7" ht="23.25" customHeight="1">
      <c r="A1" s="2" t="s">
        <v>38</v>
      </c>
      <c r="B1" s="2"/>
      <c r="C1" s="2"/>
      <c r="D1" s="2"/>
      <c r="E1" s="2"/>
      <c r="F1" s="2"/>
      <c r="G1" s="2"/>
    </row>
    <row r="2" spans="1:7" ht="12.75">
      <c r="A2" s="8" t="s">
        <v>39</v>
      </c>
      <c r="B2" s="3">
        <v>1150000</v>
      </c>
      <c r="C2" s="1" t="s">
        <v>27</v>
      </c>
      <c r="D2" s="4"/>
      <c r="E2" s="4"/>
      <c r="F2" s="4"/>
      <c r="G2" s="4"/>
    </row>
    <row r="3" spans="1:7" ht="23.25">
      <c r="A3" s="8" t="s">
        <v>40</v>
      </c>
      <c r="B3" s="3">
        <v>1200000</v>
      </c>
      <c r="C3" s="1" t="s">
        <v>27</v>
      </c>
      <c r="D3" s="4"/>
      <c r="E3" s="4"/>
      <c r="F3" s="4"/>
      <c r="G3" s="4"/>
    </row>
    <row r="4" spans="1:7" ht="12.75">
      <c r="A4" s="8" t="s">
        <v>41</v>
      </c>
      <c r="B4" s="3">
        <v>10000</v>
      </c>
      <c r="C4" s="1" t="s">
        <v>27</v>
      </c>
      <c r="D4" s="4"/>
      <c r="E4" s="4"/>
      <c r="F4" s="4"/>
      <c r="G4" s="4"/>
    </row>
    <row r="5" spans="1:7" ht="12.75">
      <c r="A5" s="8" t="s">
        <v>42</v>
      </c>
      <c r="B5" s="3">
        <v>50000</v>
      </c>
      <c r="C5" s="1" t="s">
        <v>27</v>
      </c>
      <c r="D5" s="4"/>
      <c r="E5" s="4"/>
      <c r="F5" s="4"/>
      <c r="G5" s="4"/>
    </row>
    <row r="6" spans="1:7" ht="12.75">
      <c r="A6" s="8" t="s">
        <v>43</v>
      </c>
      <c r="B6" s="3">
        <v>10</v>
      </c>
      <c r="C6" s="1" t="s">
        <v>24</v>
      </c>
      <c r="D6" s="9"/>
      <c r="E6" s="9"/>
      <c r="F6" s="9"/>
      <c r="G6" s="9"/>
    </row>
    <row r="8" spans="1:3" ht="12.75">
      <c r="A8" s="1" t="s">
        <v>14</v>
      </c>
      <c r="B8" s="8">
        <f>B4+B2+B3</f>
        <v>2360000</v>
      </c>
      <c r="C8" s="1" t="s">
        <v>27</v>
      </c>
    </row>
    <row r="9" spans="1:2" ht="12.75">
      <c r="A9" s="1" t="s">
        <v>44</v>
      </c>
      <c r="B9" s="8">
        <f>1-(B6/90)</f>
        <v>0.8888888888888888</v>
      </c>
    </row>
    <row r="10" spans="1:3" ht="12.75">
      <c r="A10" s="1" t="s">
        <v>45</v>
      </c>
      <c r="B10" s="6">
        <f>(B8-B5)/B9</f>
        <v>2598750</v>
      </c>
      <c r="C10" s="7" t="s">
        <v>27</v>
      </c>
    </row>
  </sheetData>
  <sheetProtection selectLockedCells="1" selectUnlockedCells="1"/>
  <mergeCells count="6">
    <mergeCell ref="A1:G1"/>
    <mergeCell ref="D2:G2"/>
    <mergeCell ref="D3:G3"/>
    <mergeCell ref="D4:G4"/>
    <mergeCell ref="D5:G5"/>
    <mergeCell ref="D6:G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B14" sqref="B14"/>
    </sheetView>
  </sheetViews>
  <sheetFormatPr defaultColWidth="12.57421875" defaultRowHeight="12.75"/>
  <cols>
    <col min="1" max="1" width="62.8515625" style="1" customWidth="1"/>
    <col min="2" max="2" width="13.8515625" style="1" customWidth="1"/>
    <col min="3" max="3" width="14.57421875" style="1" customWidth="1"/>
    <col min="4" max="4" width="12.57421875" style="1" customWidth="1"/>
    <col min="5" max="6" width="13.28125" style="1" customWidth="1"/>
    <col min="7" max="7" width="12.8515625" style="1" customWidth="1"/>
    <col min="8" max="16384" width="11.57421875" style="1" customWidth="1"/>
  </cols>
  <sheetData>
    <row r="1" spans="1:7" ht="23.25" customHeight="1">
      <c r="A1" s="2" t="s">
        <v>46</v>
      </c>
      <c r="B1" s="2"/>
      <c r="C1" s="2"/>
      <c r="D1" s="2"/>
      <c r="E1" s="2"/>
      <c r="F1" s="2"/>
      <c r="G1" s="2"/>
    </row>
    <row r="2" spans="1:7" ht="12.75">
      <c r="A2" s="8" t="s">
        <v>47</v>
      </c>
      <c r="B2" s="3">
        <v>147</v>
      </c>
      <c r="C2" s="1" t="s">
        <v>48</v>
      </c>
      <c r="D2" s="4"/>
      <c r="E2" s="4"/>
      <c r="F2" s="4"/>
      <c r="G2" s="4"/>
    </row>
    <row r="3" spans="1:7" ht="12.75">
      <c r="A3" s="8" t="s">
        <v>49</v>
      </c>
      <c r="B3" s="3">
        <v>18</v>
      </c>
      <c r="C3" s="1" t="s">
        <v>48</v>
      </c>
      <c r="D3" s="4"/>
      <c r="E3" s="4"/>
      <c r="F3" s="4"/>
      <c r="G3" s="4"/>
    </row>
    <row r="4" spans="1:7" ht="12.75">
      <c r="A4" s="8" t="s">
        <v>50</v>
      </c>
      <c r="B4" s="3">
        <v>29.11</v>
      </c>
      <c r="C4" s="1" t="s">
        <v>48</v>
      </c>
      <c r="D4" s="4"/>
      <c r="E4" s="4"/>
      <c r="F4" s="4"/>
      <c r="G4" s="4"/>
    </row>
    <row r="5" spans="1:7" ht="12.75">
      <c r="A5" s="8" t="s">
        <v>51</v>
      </c>
      <c r="B5" s="3">
        <v>54000</v>
      </c>
      <c r="C5" s="1" t="s">
        <v>52</v>
      </c>
      <c r="D5" s="4"/>
      <c r="E5" s="4"/>
      <c r="F5" s="4"/>
      <c r="G5" s="4"/>
    </row>
    <row r="6" spans="1:7" ht="23.25" customHeight="1">
      <c r="A6" s="8" t="s">
        <v>53</v>
      </c>
      <c r="B6" s="3">
        <v>3</v>
      </c>
      <c r="C6" s="1" t="s">
        <v>54</v>
      </c>
      <c r="D6" s="4" t="s">
        <v>55</v>
      </c>
      <c r="E6" s="4"/>
      <c r="F6" s="4"/>
      <c r="G6" s="4"/>
    </row>
    <row r="7" spans="1:7" ht="23.25">
      <c r="A7" s="8" t="s">
        <v>56</v>
      </c>
      <c r="B7" s="3">
        <v>5250000</v>
      </c>
      <c r="C7" s="1" t="s">
        <v>52</v>
      </c>
      <c r="D7" s="9"/>
      <c r="E7" s="9"/>
      <c r="F7" s="9"/>
      <c r="G7" s="9"/>
    </row>
    <row r="8" spans="1:4" ht="12.75">
      <c r="A8" s="8" t="s">
        <v>57</v>
      </c>
      <c r="B8" s="3">
        <v>37</v>
      </c>
      <c r="C8" s="1" t="s">
        <v>24</v>
      </c>
      <c r="D8" s="9"/>
    </row>
    <row r="9" spans="1:4" ht="12.75">
      <c r="A9" s="8" t="s">
        <v>43</v>
      </c>
      <c r="B9" s="3">
        <v>12.91</v>
      </c>
      <c r="C9" s="1" t="s">
        <v>48</v>
      </c>
      <c r="D9" s="9"/>
    </row>
    <row r="10" spans="1:4" ht="23.25">
      <c r="A10" s="8" t="s">
        <v>58</v>
      </c>
      <c r="B10" s="3"/>
      <c r="D10" s="9"/>
    </row>
    <row r="12" spans="1:3" ht="12.75">
      <c r="A12" s="1" t="s">
        <v>14</v>
      </c>
      <c r="B12" s="8">
        <f>B4+B2-B9-B3</f>
        <v>145.20000000000002</v>
      </c>
      <c r="C12" s="1" t="s">
        <v>48</v>
      </c>
    </row>
    <row r="13" spans="1:3" ht="12.75">
      <c r="A13" s="1" t="s">
        <v>59</v>
      </c>
      <c r="B13" s="8">
        <f>B12/3*B5*((100-B6)/100)</f>
        <v>2535192.0000000005</v>
      </c>
      <c r="C13" s="1" t="s">
        <v>52</v>
      </c>
    </row>
    <row r="14" spans="1:3" ht="12.75">
      <c r="A14" s="1" t="s">
        <v>60</v>
      </c>
      <c r="B14" s="8">
        <f>B12/3*B5*((100-B6)/100)*((100-B6)/100)</f>
        <v>2459136.24</v>
      </c>
      <c r="C14" s="1" t="s">
        <v>52</v>
      </c>
    </row>
    <row r="15" spans="1:3" ht="12.75">
      <c r="A15" s="1" t="s">
        <v>61</v>
      </c>
      <c r="B15" s="8">
        <f>B12/3*B5*((100-B6)/100)*((100-B6)/100)*((100-B6)/100)</f>
        <v>2385362.1528000003</v>
      </c>
      <c r="C15" s="1" t="s">
        <v>52</v>
      </c>
    </row>
    <row r="16" spans="1:3" ht="12.75">
      <c r="A16" s="1" t="s">
        <v>62</v>
      </c>
      <c r="B16" s="6">
        <f>SUM(B13:B15)</f>
        <v>7379690.392800001</v>
      </c>
      <c r="C16" s="7" t="s">
        <v>52</v>
      </c>
    </row>
    <row r="17" spans="1:3" ht="12.75">
      <c r="A17" s="1" t="s">
        <v>63</v>
      </c>
      <c r="B17" s="1">
        <f>B16/90*B8</f>
        <v>3033872.7170400005</v>
      </c>
      <c r="C17" s="1" t="s">
        <v>52</v>
      </c>
    </row>
    <row r="18" spans="1:3" ht="12.75">
      <c r="A18" s="1" t="s">
        <v>64</v>
      </c>
      <c r="B18" s="6">
        <f>B16+B7-B17</f>
        <v>9595817.675760001</v>
      </c>
      <c r="C18" s="7" t="s">
        <v>52</v>
      </c>
    </row>
  </sheetData>
  <sheetProtection selectLockedCells="1" selectUnlockedCells="1"/>
  <mergeCells count="7">
    <mergeCell ref="A1:G1"/>
    <mergeCell ref="D2:G2"/>
    <mergeCell ref="D3:G3"/>
    <mergeCell ref="D4:G4"/>
    <mergeCell ref="D5:G5"/>
    <mergeCell ref="D6:G6"/>
    <mergeCell ref="D7:G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B15" sqref="B15"/>
    </sheetView>
  </sheetViews>
  <sheetFormatPr defaultColWidth="12.57421875" defaultRowHeight="12.75"/>
  <cols>
    <col min="1" max="1" width="62.8515625" style="1" customWidth="1"/>
    <col min="2" max="2" width="13.8515625" style="1" customWidth="1"/>
    <col min="3" max="3" width="14.57421875" style="1" customWidth="1"/>
    <col min="4" max="4" width="12.57421875" style="1" customWidth="1"/>
    <col min="5" max="6" width="13.28125" style="1" customWidth="1"/>
    <col min="7" max="7" width="12.8515625" style="1" customWidth="1"/>
    <col min="8" max="16384" width="11.57421875" style="1" customWidth="1"/>
  </cols>
  <sheetData>
    <row r="1" spans="1:7" ht="23.25" customHeight="1">
      <c r="A1" s="2" t="s">
        <v>65</v>
      </c>
      <c r="B1" s="2"/>
      <c r="C1" s="2"/>
      <c r="D1" s="2"/>
      <c r="E1" s="2"/>
      <c r="F1" s="2"/>
      <c r="G1" s="2"/>
    </row>
    <row r="2" spans="1:7" ht="12.75">
      <c r="A2" s="8" t="s">
        <v>47</v>
      </c>
      <c r="B2" s="3">
        <v>5000000</v>
      </c>
      <c r="C2" s="1" t="s">
        <v>52</v>
      </c>
      <c r="D2" s="4"/>
      <c r="E2" s="4"/>
      <c r="F2" s="4"/>
      <c r="G2" s="4"/>
    </row>
    <row r="3" spans="1:7" ht="23.25">
      <c r="A3" s="8" t="s">
        <v>66</v>
      </c>
      <c r="B3" s="3">
        <v>2500000</v>
      </c>
      <c r="C3" s="1" t="s">
        <v>52</v>
      </c>
      <c r="D3" s="4"/>
      <c r="E3" s="4"/>
      <c r="F3" s="4"/>
      <c r="G3" s="4"/>
    </row>
    <row r="4" spans="1:7" ht="23.25">
      <c r="A4" s="8" t="s">
        <v>67</v>
      </c>
      <c r="B4" s="3">
        <v>8800000</v>
      </c>
      <c r="C4" s="1" t="s">
        <v>52</v>
      </c>
      <c r="D4" s="4"/>
      <c r="E4" s="4"/>
      <c r="F4" s="4"/>
      <c r="G4" s="4"/>
    </row>
    <row r="5" spans="1:7" ht="23.25" customHeight="1">
      <c r="A5" s="8" t="s">
        <v>68</v>
      </c>
      <c r="B5" s="3">
        <v>7200000</v>
      </c>
      <c r="C5" s="1" t="s">
        <v>52</v>
      </c>
      <c r="D5" s="4" t="s">
        <v>69</v>
      </c>
      <c r="E5" s="4"/>
      <c r="F5" s="4"/>
      <c r="G5" s="4"/>
    </row>
    <row r="6" spans="1:7" ht="12.75">
      <c r="A6" s="8" t="s">
        <v>43</v>
      </c>
      <c r="B6" s="3">
        <v>15</v>
      </c>
      <c r="C6" s="1" t="s">
        <v>24</v>
      </c>
      <c r="D6" s="9"/>
      <c r="E6" s="9"/>
      <c r="F6" s="9"/>
      <c r="G6" s="9"/>
    </row>
    <row r="7" spans="1:4" ht="23.25">
      <c r="A7" s="8" t="s">
        <v>70</v>
      </c>
      <c r="B7" s="3">
        <v>3000000</v>
      </c>
      <c r="C7" s="1" t="s">
        <v>52</v>
      </c>
      <c r="D7" s="9"/>
    </row>
    <row r="8" spans="1:4" ht="34.5">
      <c r="A8" s="8" t="s">
        <v>71</v>
      </c>
      <c r="B8" s="3">
        <v>9250000</v>
      </c>
      <c r="C8" s="1" t="s">
        <v>52</v>
      </c>
      <c r="D8" s="9"/>
    </row>
    <row r="9" spans="1:4" ht="12.75">
      <c r="A9" s="8" t="s">
        <v>72</v>
      </c>
      <c r="B9" s="3">
        <v>1800000</v>
      </c>
      <c r="C9" s="1" t="s">
        <v>52</v>
      </c>
      <c r="D9" s="9"/>
    </row>
    <row r="10" spans="1:4" ht="23.25">
      <c r="A10" s="8" t="s">
        <v>58</v>
      </c>
      <c r="B10" s="3"/>
      <c r="D10" s="9"/>
    </row>
    <row r="12" spans="1:3" ht="12.75">
      <c r="A12" s="1" t="s">
        <v>14</v>
      </c>
      <c r="B12" s="6">
        <f>B4+B5+B8+B9</f>
        <v>27050000</v>
      </c>
      <c r="C12" s="7" t="s">
        <v>52</v>
      </c>
    </row>
    <row r="13" spans="1:3" ht="12.75">
      <c r="A13" s="1" t="s">
        <v>64</v>
      </c>
      <c r="B13" s="6">
        <f>B12+B3-B7</f>
        <v>26550000</v>
      </c>
      <c r="C13" s="7" t="s">
        <v>52</v>
      </c>
    </row>
    <row r="14" spans="1:2" ht="12.75">
      <c r="A14" s="1" t="s">
        <v>44</v>
      </c>
      <c r="B14" s="8">
        <f>1-(B6/90)</f>
        <v>0.8333333333333334</v>
      </c>
    </row>
    <row r="15" spans="1:3" ht="12.75">
      <c r="A15" s="1" t="s">
        <v>45</v>
      </c>
      <c r="B15" s="6">
        <f>(B12-B2)/B14</f>
        <v>26460000</v>
      </c>
      <c r="C15" s="7" t="s">
        <v>52</v>
      </c>
    </row>
  </sheetData>
  <sheetProtection selectLockedCells="1" selectUnlockedCells="1"/>
  <mergeCells count="6">
    <mergeCell ref="A1:G1"/>
    <mergeCell ref="D2:G2"/>
    <mergeCell ref="D3:G3"/>
    <mergeCell ref="D4:G4"/>
    <mergeCell ref="D5:G5"/>
    <mergeCell ref="D6:G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A16" sqref="A16"/>
    </sheetView>
  </sheetViews>
  <sheetFormatPr defaultColWidth="12.57421875" defaultRowHeight="12.75"/>
  <cols>
    <col min="1" max="1" width="62.8515625" style="1" customWidth="1"/>
    <col min="2" max="2" width="13.8515625" style="1" customWidth="1"/>
    <col min="3" max="3" width="14.57421875" style="1" customWidth="1"/>
    <col min="4" max="4" width="12.57421875" style="1" customWidth="1"/>
    <col min="5" max="6" width="13.28125" style="1" customWidth="1"/>
    <col min="7" max="16384" width="11.57421875" style="1" customWidth="1"/>
  </cols>
  <sheetData>
    <row r="1" spans="1:6" ht="12.75" customHeight="1">
      <c r="A1" s="2" t="s">
        <v>73</v>
      </c>
      <c r="B1" s="2"/>
      <c r="C1" s="2"/>
      <c r="D1" s="2"/>
      <c r="E1" s="2"/>
      <c r="F1" s="2"/>
    </row>
    <row r="3" spans="1:6" ht="57">
      <c r="A3" s="5" t="s">
        <v>5</v>
      </c>
      <c r="B3" s="5" t="s">
        <v>74</v>
      </c>
      <c r="C3" s="5" t="s">
        <v>75</v>
      </c>
      <c r="D3" s="5" t="s">
        <v>76</v>
      </c>
      <c r="E3" s="5" t="s">
        <v>77</v>
      </c>
      <c r="F3" s="5" t="s">
        <v>78</v>
      </c>
    </row>
    <row r="4" spans="1:6" ht="12.75">
      <c r="A4" s="1" t="s">
        <v>79</v>
      </c>
      <c r="B4" s="3">
        <v>405</v>
      </c>
      <c r="C4" s="3">
        <v>320</v>
      </c>
      <c r="D4" s="3">
        <v>270</v>
      </c>
      <c r="E4" s="3">
        <v>2700</v>
      </c>
      <c r="F4" s="3">
        <v>30</v>
      </c>
    </row>
    <row r="5" spans="1:6" ht="12.75">
      <c r="A5" s="1" t="s">
        <v>80</v>
      </c>
      <c r="B5" s="3">
        <v>650</v>
      </c>
      <c r="C5" s="3">
        <v>475</v>
      </c>
      <c r="D5" s="3">
        <v>120</v>
      </c>
      <c r="E5" s="3">
        <v>2250</v>
      </c>
      <c r="F5" s="3">
        <v>45</v>
      </c>
    </row>
    <row r="7" ht="12.75">
      <c r="A7" s="1" t="s">
        <v>79</v>
      </c>
    </row>
    <row r="8" spans="1:3" ht="12.75">
      <c r="A8" s="1" t="s">
        <v>19</v>
      </c>
      <c r="B8" s="8">
        <f>E4/90</f>
        <v>30</v>
      </c>
      <c r="C8" s="1" t="s">
        <v>81</v>
      </c>
    </row>
    <row r="9" spans="1:3" ht="12.75">
      <c r="A9" s="1" t="s">
        <v>82</v>
      </c>
      <c r="B9" s="8">
        <f>B4+D4-C4</f>
        <v>355</v>
      </c>
      <c r="C9" s="1" t="s">
        <v>83</v>
      </c>
    </row>
    <row r="10" spans="1:3" ht="12.75">
      <c r="A10" s="1" t="s">
        <v>84</v>
      </c>
      <c r="B10" s="8">
        <f>B8*F4</f>
        <v>900</v>
      </c>
      <c r="C10" s="1" t="s">
        <v>83</v>
      </c>
    </row>
    <row r="11" spans="1:3" ht="12.75">
      <c r="A11" s="1" t="s">
        <v>64</v>
      </c>
      <c r="B11" s="8">
        <f>E4+B9-B10</f>
        <v>2155</v>
      </c>
      <c r="C11" s="8" t="s">
        <v>83</v>
      </c>
    </row>
    <row r="13" ht="12.75">
      <c r="A13" s="1" t="s">
        <v>80</v>
      </c>
    </row>
    <row r="14" spans="1:3" ht="12.75">
      <c r="A14" s="1" t="s">
        <v>19</v>
      </c>
      <c r="B14" s="8">
        <f>E5/90</f>
        <v>25</v>
      </c>
      <c r="C14" s="1" t="s">
        <v>81</v>
      </c>
    </row>
    <row r="15" spans="1:3" ht="12.75">
      <c r="A15" s="1" t="s">
        <v>82</v>
      </c>
      <c r="B15" s="8">
        <f>B5+D5-C5</f>
        <v>295</v>
      </c>
      <c r="C15" s="1" t="s">
        <v>83</v>
      </c>
    </row>
    <row r="16" spans="1:3" ht="12.75">
      <c r="A16" s="1" t="s">
        <v>84</v>
      </c>
      <c r="B16" s="8">
        <f>B14*F5</f>
        <v>1125</v>
      </c>
      <c r="C16" s="1" t="s">
        <v>83</v>
      </c>
    </row>
    <row r="17" spans="1:3" ht="12.75">
      <c r="A17" s="1" t="s">
        <v>64</v>
      </c>
      <c r="B17" s="8">
        <f>E5+B15-B16</f>
        <v>1420</v>
      </c>
      <c r="C17" s="8" t="s">
        <v>83</v>
      </c>
    </row>
    <row r="19" spans="1:3" ht="12.75">
      <c r="A19" s="1" t="s">
        <v>85</v>
      </c>
      <c r="B19" s="6">
        <f>B11+B17</f>
        <v>3575</v>
      </c>
      <c r="C19" s="7" t="s">
        <v>83</v>
      </c>
    </row>
  </sheetData>
  <sheetProtection selectLockedCells="1" selectUnlockedCells="1"/>
  <mergeCells count="1">
    <mergeCell ref="A1:F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B13" sqref="B13"/>
    </sheetView>
  </sheetViews>
  <sheetFormatPr defaultColWidth="12.57421875" defaultRowHeight="12.75"/>
  <cols>
    <col min="1" max="1" width="62.8515625" style="1" customWidth="1"/>
    <col min="2" max="2" width="13.8515625" style="1" customWidth="1"/>
    <col min="3" max="3" width="14.57421875" style="1" customWidth="1"/>
    <col min="4" max="4" width="12.57421875" style="1" customWidth="1"/>
    <col min="5" max="6" width="13.28125" style="1" customWidth="1"/>
    <col min="7" max="7" width="12.8515625" style="1" customWidth="1"/>
    <col min="8" max="16384" width="11.57421875" style="1" customWidth="1"/>
  </cols>
  <sheetData>
    <row r="1" spans="1:7" ht="12.75" customHeight="1">
      <c r="A1" s="2" t="s">
        <v>86</v>
      </c>
      <c r="B1" s="2"/>
      <c r="C1" s="2"/>
      <c r="D1" s="2"/>
      <c r="E1" s="2"/>
      <c r="F1" s="2"/>
      <c r="G1" s="2"/>
    </row>
    <row r="2" spans="1:7" ht="12.75">
      <c r="A2" s="8" t="s">
        <v>87</v>
      </c>
      <c r="B2" s="3">
        <v>15700000</v>
      </c>
      <c r="C2" s="1" t="s">
        <v>52</v>
      </c>
      <c r="D2" s="4"/>
      <c r="E2" s="4"/>
      <c r="F2" s="4"/>
      <c r="G2" s="4"/>
    </row>
    <row r="3" spans="1:7" ht="12.75">
      <c r="A3" s="8" t="s">
        <v>88</v>
      </c>
      <c r="B3" s="3">
        <v>200000</v>
      </c>
      <c r="C3" s="1" t="s">
        <v>52</v>
      </c>
      <c r="D3" s="4"/>
      <c r="E3" s="4"/>
      <c r="F3" s="4"/>
      <c r="G3" s="4"/>
    </row>
    <row r="4" spans="1:7" ht="12.75">
      <c r="A4" s="8" t="s">
        <v>89</v>
      </c>
      <c r="B4" s="3">
        <v>1800000</v>
      </c>
      <c r="C4" s="1" t="s">
        <v>52</v>
      </c>
      <c r="D4" s="4"/>
      <c r="E4" s="4"/>
      <c r="F4" s="4"/>
      <c r="G4" s="4"/>
    </row>
    <row r="5" spans="1:7" ht="23.25">
      <c r="A5" s="8" t="s">
        <v>90</v>
      </c>
      <c r="B5" s="3">
        <v>1950000</v>
      </c>
      <c r="C5" s="1" t="s">
        <v>52</v>
      </c>
      <c r="D5" s="4"/>
      <c r="E5" s="4"/>
      <c r="F5" s="4"/>
      <c r="G5" s="4"/>
    </row>
    <row r="6" spans="1:7" ht="12.75">
      <c r="A6" s="8" t="s">
        <v>91</v>
      </c>
      <c r="B6" s="3">
        <v>20</v>
      </c>
      <c r="C6" s="1" t="s">
        <v>24</v>
      </c>
      <c r="D6" s="9"/>
      <c r="E6" s="9"/>
      <c r="F6" s="9"/>
      <c r="G6" s="9"/>
    </row>
    <row r="7" spans="1:4" ht="12.75">
      <c r="A7" s="8" t="s">
        <v>92</v>
      </c>
      <c r="B7" s="3">
        <v>3000000</v>
      </c>
      <c r="C7" s="1" t="s">
        <v>52</v>
      </c>
      <c r="D7" s="9"/>
    </row>
    <row r="8" spans="1:4" ht="23.25">
      <c r="A8" s="8" t="s">
        <v>58</v>
      </c>
      <c r="B8" s="3"/>
      <c r="D8" s="9"/>
    </row>
    <row r="10" spans="1:3" ht="12.75">
      <c r="A10" s="1" t="s">
        <v>19</v>
      </c>
      <c r="B10" s="8">
        <f>B2/90</f>
        <v>174444.44444444444</v>
      </c>
      <c r="C10" s="8" t="s">
        <v>52</v>
      </c>
    </row>
    <row r="11" spans="1:3" ht="12.75">
      <c r="A11" s="1" t="s">
        <v>36</v>
      </c>
      <c r="B11" s="8">
        <f>B10*B6</f>
        <v>3488888.888888889</v>
      </c>
      <c r="C11" s="8" t="s">
        <v>52</v>
      </c>
    </row>
    <row r="12" spans="1:3" ht="12.75">
      <c r="A12" s="1" t="s">
        <v>14</v>
      </c>
      <c r="B12" s="8">
        <f>B2+B4-B11-B3</f>
        <v>13811111.111111112</v>
      </c>
      <c r="C12" s="8" t="s">
        <v>52</v>
      </c>
    </row>
    <row r="13" spans="1:3" ht="12.75">
      <c r="A13" s="1" t="s">
        <v>64</v>
      </c>
      <c r="B13" s="6">
        <f>B12+B5-B7</f>
        <v>12761111.111111112</v>
      </c>
      <c r="C13" s="7" t="s">
        <v>52</v>
      </c>
    </row>
  </sheetData>
  <sheetProtection selectLockedCells="1" selectUnlockedCells="1"/>
  <mergeCells count="6">
    <mergeCell ref="A1:G1"/>
    <mergeCell ref="D2:G2"/>
    <mergeCell ref="D3:G3"/>
    <mergeCell ref="D4:G4"/>
    <mergeCell ref="D5:G5"/>
    <mergeCell ref="D6:G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C5" sqref="C5"/>
    </sheetView>
  </sheetViews>
  <sheetFormatPr defaultColWidth="12.57421875" defaultRowHeight="12.75"/>
  <cols>
    <col min="1" max="1" width="62.8515625" style="1" customWidth="1"/>
    <col min="2" max="2" width="13.8515625" style="1" customWidth="1"/>
    <col min="3" max="3" width="14.57421875" style="1" customWidth="1"/>
    <col min="4" max="4" width="12.57421875" style="1" customWidth="1"/>
    <col min="5" max="6" width="13.28125" style="1" customWidth="1"/>
    <col min="7" max="7" width="12.8515625" style="1" customWidth="1"/>
    <col min="8" max="16384" width="11.57421875" style="1" customWidth="1"/>
  </cols>
  <sheetData>
    <row r="1" spans="1:7" ht="12.75" customHeight="1">
      <c r="A1" s="2" t="s">
        <v>93</v>
      </c>
      <c r="B1" s="2"/>
      <c r="C1" s="2"/>
      <c r="D1" s="2"/>
      <c r="E1" s="2"/>
      <c r="F1" s="2"/>
      <c r="G1" s="2"/>
    </row>
    <row r="2" spans="1:7" ht="12.75">
      <c r="A2" s="8" t="s">
        <v>94</v>
      </c>
      <c r="B2" s="3">
        <v>40</v>
      </c>
      <c r="C2" s="1" t="s">
        <v>15</v>
      </c>
      <c r="D2" s="4"/>
      <c r="E2" s="4"/>
      <c r="F2" s="4"/>
      <c r="G2" s="4"/>
    </row>
    <row r="3" spans="1:7" ht="12.75">
      <c r="A3" s="8" t="s">
        <v>95</v>
      </c>
      <c r="B3" s="3">
        <v>360</v>
      </c>
      <c r="C3" s="1" t="s">
        <v>15</v>
      </c>
      <c r="D3" s="4"/>
      <c r="E3" s="4"/>
      <c r="F3" s="4"/>
      <c r="G3" s="4"/>
    </row>
    <row r="4" spans="1:7" ht="23.25">
      <c r="A4" s="8" t="s">
        <v>96</v>
      </c>
      <c r="B4" s="3">
        <v>2</v>
      </c>
      <c r="C4" s="1" t="s">
        <v>24</v>
      </c>
      <c r="D4" s="4"/>
      <c r="E4" s="4"/>
      <c r="F4" s="4"/>
      <c r="G4" s="4"/>
    </row>
    <row r="5" spans="1:7" ht="34.5">
      <c r="A5" s="8" t="s">
        <v>97</v>
      </c>
      <c r="B5" s="3">
        <v>3</v>
      </c>
      <c r="C5" s="1" t="s">
        <v>24</v>
      </c>
      <c r="D5" s="4"/>
      <c r="E5" s="4"/>
      <c r="F5" s="4"/>
      <c r="G5" s="4"/>
    </row>
    <row r="7" spans="1:3" ht="12.75">
      <c r="A7" s="1" t="s">
        <v>19</v>
      </c>
      <c r="B7" s="8">
        <f>B3/90</f>
        <v>4</v>
      </c>
      <c r="C7" s="1" t="s">
        <v>20</v>
      </c>
    </row>
    <row r="8" spans="1:3" ht="12.75">
      <c r="A8" s="1" t="s">
        <v>98</v>
      </c>
      <c r="B8" s="8">
        <f>B2/2</f>
        <v>20</v>
      </c>
      <c r="C8" s="1" t="s">
        <v>15</v>
      </c>
    </row>
    <row r="9" spans="1:3" ht="12.75">
      <c r="A9" s="1" t="s">
        <v>99</v>
      </c>
      <c r="B9" s="8">
        <f>B8/B7</f>
        <v>5</v>
      </c>
      <c r="C9" s="1" t="s">
        <v>24</v>
      </c>
    </row>
    <row r="10" spans="1:3" ht="12.75">
      <c r="A10" s="1" t="s">
        <v>100</v>
      </c>
      <c r="B10" s="8">
        <f>B4*B7</f>
        <v>8</v>
      </c>
      <c r="C10" s="1" t="s">
        <v>15</v>
      </c>
    </row>
    <row r="11" spans="1:3" ht="12.75">
      <c r="A11" s="1" t="s">
        <v>101</v>
      </c>
      <c r="B11" s="8">
        <f>B5*B7</f>
        <v>12</v>
      </c>
      <c r="C11" s="1" t="s">
        <v>15</v>
      </c>
    </row>
    <row r="12" spans="1:3" ht="12.75">
      <c r="A12" s="1" t="s">
        <v>102</v>
      </c>
      <c r="B12" s="6">
        <f>B8+B10+B11</f>
        <v>40</v>
      </c>
      <c r="C12" s="7" t="s">
        <v>15</v>
      </c>
    </row>
    <row r="13" spans="1:3" ht="12.75">
      <c r="A13" s="1" t="s">
        <v>103</v>
      </c>
      <c r="B13" s="6">
        <f>B9+B4+B5</f>
        <v>10</v>
      </c>
      <c r="C13" s="7" t="s">
        <v>24</v>
      </c>
    </row>
    <row r="14" spans="1:3" ht="12.75">
      <c r="A14" s="1" t="s">
        <v>103</v>
      </c>
      <c r="B14" s="6">
        <f>B12/B7</f>
        <v>10</v>
      </c>
      <c r="C14" s="7" t="s">
        <v>24</v>
      </c>
    </row>
  </sheetData>
  <sheetProtection selectLockedCells="1" selectUnlockedCells="1"/>
  <mergeCells count="5">
    <mergeCell ref="A1:G1"/>
    <mergeCell ref="D2:G2"/>
    <mergeCell ref="D3:G3"/>
    <mergeCell ref="D4:G4"/>
    <mergeCell ref="D5:G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B9" sqref="B9"/>
    </sheetView>
  </sheetViews>
  <sheetFormatPr defaultColWidth="12.57421875" defaultRowHeight="12.75"/>
  <cols>
    <col min="1" max="1" width="62.8515625" style="1" customWidth="1"/>
    <col min="2" max="2" width="13.8515625" style="1" customWidth="1"/>
    <col min="3" max="3" width="14.57421875" style="1" customWidth="1"/>
    <col min="4" max="4" width="12.57421875" style="1" customWidth="1"/>
    <col min="5" max="6" width="13.28125" style="1" customWidth="1"/>
    <col min="7" max="16384" width="11.57421875" style="1" customWidth="1"/>
  </cols>
  <sheetData>
    <row r="1" spans="1:6" ht="12.75" customHeight="1">
      <c r="A1" s="2" t="s">
        <v>104</v>
      </c>
      <c r="B1" s="2"/>
      <c r="C1" s="2"/>
      <c r="D1" s="2"/>
      <c r="E1" s="2"/>
      <c r="F1" s="2"/>
    </row>
    <row r="3" spans="1:6" ht="12.75">
      <c r="A3" s="5" t="s">
        <v>105</v>
      </c>
      <c r="B3" s="5" t="s">
        <v>106</v>
      </c>
      <c r="C3" s="5" t="s">
        <v>107</v>
      </c>
      <c r="D3" s="5"/>
      <c r="E3" s="5"/>
      <c r="F3" s="5"/>
    </row>
    <row r="4" spans="1:6" ht="12.75">
      <c r="A4" s="1" t="s">
        <v>108</v>
      </c>
      <c r="B4" s="3">
        <v>20</v>
      </c>
      <c r="C4" s="3">
        <v>15</v>
      </c>
      <c r="D4" s="3"/>
      <c r="E4" s="3"/>
      <c r="F4" s="3"/>
    </row>
    <row r="5" spans="1:6" ht="12.75">
      <c r="A5" s="1" t="s">
        <v>109</v>
      </c>
      <c r="B5" s="3">
        <v>200</v>
      </c>
      <c r="C5" s="3">
        <v>10</v>
      </c>
      <c r="D5" s="3"/>
      <c r="E5" s="3"/>
      <c r="F5" s="3"/>
    </row>
    <row r="6" spans="1:6" ht="12.75">
      <c r="A6" s="1" t="s">
        <v>110</v>
      </c>
      <c r="B6" s="3">
        <v>150</v>
      </c>
      <c r="C6" s="3">
        <v>7</v>
      </c>
      <c r="D6" s="3"/>
      <c r="E6" s="3"/>
      <c r="F6" s="3"/>
    </row>
    <row r="7" spans="1:6" ht="12.75">
      <c r="A7" s="1" t="s">
        <v>111</v>
      </c>
      <c r="B7" s="3">
        <v>30</v>
      </c>
      <c r="C7" s="3">
        <v>20</v>
      </c>
      <c r="D7" s="3"/>
      <c r="E7" s="3"/>
      <c r="F7" s="3"/>
    </row>
    <row r="9" spans="1:3" ht="12.75">
      <c r="A9" s="1" t="s">
        <v>112</v>
      </c>
      <c r="B9" s="6">
        <f>SUM(B4:B7)/4</f>
        <v>100</v>
      </c>
      <c r="C9" s="7" t="s">
        <v>15</v>
      </c>
    </row>
    <row r="10" spans="1:3" ht="12.75">
      <c r="A10" s="1" t="s">
        <v>113</v>
      </c>
      <c r="B10" s="8">
        <f>(B4/C4+B5/C5+B6/C6+B7/C7)/4</f>
        <v>11.06547619047619</v>
      </c>
      <c r="C10" s="1" t="s">
        <v>20</v>
      </c>
    </row>
    <row r="11" spans="1:3" ht="12.75">
      <c r="A11" s="1" t="s">
        <v>114</v>
      </c>
      <c r="B11" s="6">
        <f>B9/B10</f>
        <v>9.037116729424422</v>
      </c>
      <c r="C11" s="7" t="s">
        <v>24</v>
      </c>
    </row>
  </sheetData>
  <sheetProtection selectLockedCells="1" selectUnlockedCells="1"/>
  <mergeCells count="1">
    <mergeCell ref="A1:F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</dc:creator>
  <cp:keywords/>
  <dc:description/>
  <cp:lastModifiedBy>alex </cp:lastModifiedBy>
  <dcterms:created xsi:type="dcterms:W3CDTF">2011-09-17T15:00:37Z</dcterms:created>
  <dcterms:modified xsi:type="dcterms:W3CDTF">2011-09-17T19:18:57Z</dcterms:modified>
  <cp:category/>
  <cp:version/>
  <cp:contentType/>
  <cp:contentStatus/>
  <cp:revision>61</cp:revision>
</cp:coreProperties>
</file>